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1efca1733e6c678/Desktop/"/>
    </mc:Choice>
  </mc:AlternateContent>
  <xr:revisionPtr revIDLastSave="318" documentId="11_D19F2C0C9BA05AC2E0EAB16B6A08DEBF8E813532" xr6:coauthVersionLast="47" xr6:coauthVersionMax="47" xr10:uidLastSave="{818D146F-0CE3-48CB-A291-54768018E007}"/>
  <bookViews>
    <workbookView xWindow="-28920" yWindow="-2610" windowWidth="29040" windowHeight="17520" tabRatio="500" activeTab="2" xr2:uid="{00000000-000D-0000-FFFF-FFFF00000000}"/>
  </bookViews>
  <sheets>
    <sheet name="WorkFlow Uplift Metrics" sheetId="1" r:id="rId1"/>
    <sheet name="ROI Model Assumptions" sheetId="2" r:id="rId2"/>
    <sheet name="ROI Summary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3" l="1"/>
  <c r="D18" i="3"/>
  <c r="C18" i="3"/>
  <c r="E17" i="3"/>
  <c r="D17" i="3"/>
  <c r="C17" i="3"/>
  <c r="C16" i="3"/>
  <c r="E6" i="3"/>
  <c r="D6" i="3"/>
  <c r="C6" i="3"/>
  <c r="C39" i="2"/>
  <c r="C37" i="2"/>
  <c r="C16" i="2"/>
  <c r="C33" i="3" l="1"/>
  <c r="E7" i="3"/>
  <c r="D7" i="3"/>
  <c r="C7" i="3"/>
  <c r="C41" i="2"/>
  <c r="C43" i="2" s="1"/>
  <c r="C34" i="3" l="1"/>
  <c r="E10" i="3"/>
  <c r="E11" i="3"/>
  <c r="E12" i="3"/>
  <c r="E19" i="3"/>
  <c r="E20" i="3" s="1"/>
  <c r="D10" i="3"/>
  <c r="D11" i="3"/>
  <c r="D12" i="3"/>
  <c r="D19" i="3"/>
  <c r="D20" i="3" s="1"/>
  <c r="C10" i="3"/>
  <c r="C11" i="3"/>
  <c r="C12" i="3"/>
  <c r="C19" i="3"/>
  <c r="C20" i="3" s="1"/>
  <c r="D13" i="3" l="1"/>
  <c r="D23" i="3" s="1"/>
  <c r="D25" i="3" s="1"/>
  <c r="C13" i="3"/>
  <c r="C23" i="3" s="1"/>
  <c r="E13" i="3"/>
  <c r="E23" i="3" s="1"/>
  <c r="E25" i="3" s="1"/>
  <c r="C28" i="3" l="1"/>
  <c r="C25" i="3"/>
  <c r="C24" i="3"/>
  <c r="D24" i="3" l="1"/>
  <c r="E24" i="3" s="1"/>
  <c r="C29" i="3" s="1"/>
  <c r="C30" i="3" l="1"/>
</calcChain>
</file>

<file path=xl/sharedStrings.xml><?xml version="1.0" encoding="utf-8"?>
<sst xmlns="http://schemas.openxmlformats.org/spreadsheetml/2006/main" count="191" uniqueCount="190">
  <si>
    <t>Key Metric</t>
  </si>
  <si>
    <t>Unit</t>
  </si>
  <si>
    <t>Original</t>
  </si>
  <si>
    <t>Post Agentic AI uplift</t>
  </si>
  <si>
    <t>Impact</t>
  </si>
  <si>
    <t>Cycle Time</t>
  </si>
  <si>
    <t>business days</t>
  </si>
  <si>
    <t>70% faster</t>
  </si>
  <si>
    <t>Human Effort</t>
  </si>
  <si>
    <t>hours per campaign</t>
  </si>
  <si>
    <t>15 hours saved per campaign</t>
  </si>
  <si>
    <t>Rework Rate</t>
  </si>
  <si>
    <t>%</t>
  </si>
  <si>
    <t>50% reduction</t>
  </si>
  <si>
    <t>Annual campaign throughput</t>
  </si>
  <si>
    <t>campaign count</t>
  </si>
  <si>
    <t>+50 campaigns</t>
  </si>
  <si>
    <t>Assumptions</t>
  </si>
  <si>
    <t>Yellow = high-sensitivity assumptions</t>
  </si>
  <si>
    <t>SCOPE &amp; VOLUME</t>
  </si>
  <si>
    <t>Campaigns deployed per year</t>
  </si>
  <si>
    <t>One-time implementation cost ($)</t>
  </si>
  <si>
    <t>Platform / infrastructure cost ($/yr)</t>
  </si>
  <si>
    <t>Governance &amp; compliance &amp; audit cost ($/yr)</t>
  </si>
  <si>
    <t>LABOR</t>
  </si>
  <si>
    <t>Fully loaded labor rate ($/hr)</t>
  </si>
  <si>
    <t>Hours per campaign — current (blended)</t>
  </si>
  <si>
    <t>Hours per campaign — future (human review)</t>
  </si>
  <si>
    <t>Hours saved per campaign</t>
  </si>
  <si>
    <t>QUALITY, REWORK &amp; AGENT ERRORS</t>
  </si>
  <si>
    <t>Rework rate — current</t>
  </si>
  <si>
    <t>Rework effort — current (hrs)</t>
  </si>
  <si>
    <t>Rework rate — future (human-caused)</t>
  </si>
  <si>
    <t>Rework effort — future (hrs)</t>
  </si>
  <si>
    <t>Agent error correction effort (hrs)</t>
  </si>
  <si>
    <t>Agent error rate — Year 1</t>
  </si>
  <si>
    <t>Agent error rate — Year 2</t>
  </si>
  <si>
    <t>Agent error rate — Year 3</t>
  </si>
  <si>
    <t>ADOPTION RAMP</t>
  </si>
  <si>
    <t>Ramp — Year 1</t>
  </si>
  <si>
    <t>Ramp — Year 2</t>
  </si>
  <si>
    <t>Ramp — Year 3</t>
  </si>
  <si>
    <t>MODEL USAGE (TOKENS)</t>
  </si>
  <si>
    <t>Fresh input tokens per campaign</t>
  </si>
  <si>
    <t>Fresh input price ($/1M tokens)</t>
  </si>
  <si>
    <t>Cached input tokens per campaign</t>
  </si>
  <si>
    <t>Cached input price ($/1M tokens)</t>
  </si>
  <si>
    <t>Output tokens per campaign</t>
  </si>
  <si>
    <t>Output price ($/1M tokens)</t>
  </si>
  <si>
    <t>Base token cost per campaign</t>
  </si>
  <si>
    <t>Agentic overhead multiplier</t>
  </si>
  <si>
    <t>Effective token cost per campaign</t>
  </si>
  <si>
    <t>FINANCIAL</t>
  </si>
  <si>
    <t>Discount rate</t>
  </si>
  <si>
    <t>Value of faster cycle time</t>
  </si>
  <si>
    <t>Labor rate inflation</t>
  </si>
  <si>
    <t>The $100/hr rate is held flat for 3 years. With ~3%/yr wage inflation, benefits are understated by ~$35-45K over the period — the model is conservative on this dimension.</t>
  </si>
  <si>
    <t>Timing of the upfront investment</t>
  </si>
  <si>
    <t>Benefits beyond Year 3</t>
  </si>
  <si>
    <t>Cost of an agent error reaching a customer</t>
  </si>
  <si>
    <t>Sensitivity / scenario analysis</t>
  </si>
  <si>
    <t>ROI Summary: 3-Year View</t>
  </si>
  <si>
    <t>All figures in $ unless noted. Scenario set on Assumptions sheet.</t>
  </si>
  <si>
    <t>Year 1</t>
  </si>
  <si>
    <t>Year 2</t>
  </si>
  <si>
    <t>Year 3</t>
  </si>
  <si>
    <t>Adoption ramp</t>
  </si>
  <si>
    <t>Effective campaigns (ramped)</t>
  </si>
  <si>
    <t>BENEFITS</t>
  </si>
  <si>
    <t>Productivity (hours saved x rate)</t>
  </si>
  <si>
    <t>Rework reduction (gross)</t>
  </si>
  <si>
    <t>Less: agent error correction</t>
  </si>
  <si>
    <t>Total benefit</t>
  </si>
  <si>
    <t>COSTS</t>
  </si>
  <si>
    <t>One-time implementation</t>
  </si>
  <si>
    <t>Platform &amp; infrastructure maintenance</t>
  </si>
  <si>
    <t>Governance &amp; compliance &amp; monitoring</t>
  </si>
  <si>
    <t>Model usage (tokens)</t>
  </si>
  <si>
    <t>Total costs</t>
  </si>
  <si>
    <t>RETURNS</t>
  </si>
  <si>
    <t>Net benefit</t>
  </si>
  <si>
    <t>Cumulative net benefit</t>
  </si>
  <si>
    <t>Annual ROI (net benefit / cost)</t>
  </si>
  <si>
    <t>KEY METRICS</t>
  </si>
  <si>
    <t>3-year NPV</t>
  </si>
  <si>
    <t>3-year ROI (cumulative net / cumulative cost)</t>
  </si>
  <si>
    <t>Payback (months, approx.)</t>
  </si>
  <si>
    <t>STRATEGIC UPSIDE — NOT COUNTED IN ROI</t>
  </si>
  <si>
    <t>Hours freed per year (run-rate)</t>
  </si>
  <si>
    <t>FTE-equivalent capacity</t>
  </si>
  <si>
    <t>Marketing Workflow: Campaign Deployment Agentic AI Pilot Metrics</t>
  </si>
  <si>
    <t xml:space="preserve">Errors decline as prompts, guardrails and evals mature with real usage. </t>
  </si>
  <si>
    <t xml:space="preserve">Represents the mature, tuned system. </t>
  </si>
  <si>
    <t xml:space="preserve">The 'naive' estimate that agentic workloads always exceed in practice. </t>
  </si>
  <si>
    <t>Money earned in Year 3 is worth less than money spent today</t>
  </si>
  <si>
    <t>At $400K, the investment is recovered in ~19 months</t>
  </si>
  <si>
    <t>Cutting rework is a quality benefit on top of speed</t>
  </si>
  <si>
    <t>Year 2 is the first full net-positive year (~$387K net benefit).</t>
  </si>
  <si>
    <t>Standard engineering practice that keeps run costs low</t>
  </si>
  <si>
    <t>Negligible cost line</t>
  </si>
  <si>
    <t>Never present this number alone — see the overhead multiplier below.</t>
  </si>
  <si>
    <t xml:space="preserve">Calculated: current hours minus future hours (24 − 9 = 15). </t>
  </si>
  <si>
    <t xml:space="preserve">Share of campaigns in Year 1 where the agent introduces an error needing human correction (separate from, and additional to, human error above). </t>
  </si>
  <si>
    <t xml:space="preserve">Agent error rate assumed for Year 2. </t>
  </si>
  <si>
    <t xml:space="preserve">Agent error rate assumed at steady state (Year 3). </t>
  </si>
  <si>
    <t xml:space="preserve">Calculated raw AI cost per campaign before real-world overhead (~$3). </t>
  </si>
  <si>
    <t>ASSUMPTIONS NOT YET MODELED</t>
  </si>
  <si>
    <t>DESCRIPTION</t>
  </si>
  <si>
    <t>WHY THIS MATTERS</t>
  </si>
  <si>
    <t>THE "SO-WHAT"</t>
  </si>
  <si>
    <t>Number of campaigns Marketing Ops deployes in a year</t>
  </si>
  <si>
    <t>This is the volume every benefit is multiplied by - it is the single biggest lever in the model</t>
  </si>
  <si>
    <t>If scope grows to enterprise-wide (1,000s of campaigns), benefits scale almost 1:1 while costs grow far more slowly</t>
  </si>
  <si>
    <t>Recurring annual cost of agent platform licences, hosting and integrations</t>
  </si>
  <si>
    <t>This is the upfront investment the exec team needs to approve</t>
  </si>
  <si>
    <t>This is the ongoing 'cost to keep the lights on' - it continues every year, unlike the one-time build</t>
  </si>
  <si>
    <t>At $100K/yr it is covered ~7x over by Year 3 benefits. Fixed cost so the per-campaign cost falls as volume scales</t>
  </si>
  <si>
    <t>One-off cost to build the agents, integrate with the marketing platform (APIs), test, and manage the change</t>
  </si>
  <si>
    <t>Recurring annual cost of keeping the agents safe and compliant - policy upkeep, model risk management, audit support, eval suites, output QA sampling, and monitoring</t>
  </si>
  <si>
    <t>Budgeting ~15-20% of run costs for governance (industry norm) signals to Risk/Compliance that this has been taken seriously</t>
  </si>
  <si>
    <t>In a regulated environment this is non-negotiable. This makes the automated audit trail credible</t>
  </si>
  <si>
    <t xml:space="preserve">Fully loaded hourly cost of a Marketing Ops employee - salary, benefits and overhead (~$200K/yr equivalent for US financial services). </t>
  </si>
  <si>
    <t>Every hour saved is converted to dollars at this rate</t>
  </si>
  <si>
    <t>10% change in this rate moves total benefits by 10%</t>
  </si>
  <si>
    <t>Average hands-on hours for Marketing Ops to take one campaign from intake to launch today, blended across simple sends and complex multi-step journeys. Excludes rework hours, which are modelled separately below</t>
  </si>
  <si>
    <t>This is the baseline the savings are measured against</t>
  </si>
  <si>
    <t>Sensitive assumption so need to anchor against time-tracking or workflow-tool data</t>
  </si>
  <si>
    <t xml:space="preserve">Hours 1 Marketing Ops colleague still spends per campaign after AI - reviewing the agent's campaign pack, managing stakeholders and giving final sign-off </t>
  </si>
  <si>
    <t>Shows this is human-in-the-loop, not full automation: Marketing Ops shift from builders to reviewers</t>
  </si>
  <si>
    <t>Conservative assumption - keeping 9 of 24 hours (~37%) protects quality and makes the savings estimate defensible</t>
  </si>
  <si>
    <t>15 hrs x 500 campaigns = 7,500 hours/yr freed — roughly 4 FTEs of capacity redeployed to higher-value work</t>
  </si>
  <si>
    <t>This is the core productivity gain per campaign</t>
  </si>
  <si>
    <t xml:space="preserve">Share of campaigns that need rework after build today (1 in 5). </t>
  </si>
  <si>
    <t>Rework causes launch delays and stakeholder friction</t>
  </si>
  <si>
    <t>Average hours to fix a campaign that needs rework today (errors are typically found late, e.g. at stakeholder review)</t>
  </si>
  <si>
    <t>Converts today's rework rate into hours, and therefore dollars</t>
  </si>
  <si>
    <t>20% of campaigns x 6 hrs = 1.2 hrs of hidden rework baked into every campaign today</t>
  </si>
  <si>
    <t xml:space="preserve">Residual share of campaigns needing rework from human error after AI agent is in place (halved from 20% to 10%). </t>
  </si>
  <si>
    <t>Shows the model does not claim perfection - humans in the loop still make mistakes</t>
  </si>
  <si>
    <t>Keeping a realistic residual error rate makes the quality benefit credible</t>
  </si>
  <si>
    <t xml:space="preserve">Hours to fix a reworked campaign in future - halved because AI agent catches errors earlier in the process, when they are cheaper to correct. </t>
  </si>
  <si>
    <t>Early detection is a core value driver of the new workflow (QA at step 2 and 4 rather than after launch prep)</t>
  </si>
  <si>
    <t>Fewer errors AND cheaper fixes compound: future rework burden drops ~75% (from 1.2 to 0.3 hrs per campaign)</t>
  </si>
  <si>
    <t xml:space="preserve">Human hours to correct an error the AI agent itself introduces, e.g. mis-built audience, wrong link, policy miss due to hallucinations, errors, etc. </t>
  </si>
  <si>
    <t>A realistic model must count the cost of AI mistakes, not just the savings</t>
  </si>
  <si>
    <t>Errors are caught at human review before launch, so the cost is correction effort, not customer impact</t>
  </si>
  <si>
    <t>Even at 10% agent errors, the net benefit case holds - the deduction is &lt;2% of Year 1 benefits.</t>
  </si>
  <si>
    <t>Conservative improvement curve of 10% → 5% → 3%</t>
  </si>
  <si>
    <t>A 3% floor (not zero) seems realistic as some model errors will always occur</t>
  </si>
  <si>
    <t>Full adoption by Year 3 — all in-scope campaigns run through the agentic process</t>
  </si>
  <si>
    <t>Year 2 adoption — 75% of volume through the new process as remaining campaign types are onboarded</t>
  </si>
  <si>
    <t>Share of the year's campaign volume that actually flows through the new process in Year 1 (50% = ~6-month effective ramp)</t>
  </si>
  <si>
    <t>No transformation delivers 100% from day one as rollout, integration hardening and team trust-building take time</t>
  </si>
  <si>
    <t>The ramp is why Year 1 is net-negative as benefits catch up in Year 2</t>
  </si>
  <si>
    <t>Assumes steady, managed expansion rather than a big bang</t>
  </si>
  <si>
    <t>Defines the steady-state run-rate the business can bank on</t>
  </si>
  <si>
    <t>Year 3 run-rate is ~$584K net benefit per year on this scope alone</t>
  </si>
  <si>
    <t>Token volume drives the AI usage bill</t>
  </si>
  <si>
    <t>Even at 1M tokens per campaign, model usage is a rounding error next to labour savings (see effective cost below)</t>
  </si>
  <si>
    <t>Price per 1M fresh input tokens. Based on published frontier-model (OpenAI) API pricing</t>
  </si>
  <si>
    <t>Validate against the vendor and model actually selected and if model is changed</t>
  </si>
  <si>
    <t>AI vendor pricing changes frequently (usually downward) but unlikely to change the investment decision as token cost is &lt;2% of total cost</t>
  </si>
  <si>
    <t>Input tokens served from cache (repeated content such as policy docs and templates), assumed at half of fresh input volume</t>
  </si>
  <si>
    <t>Caching cuts input cost ~90% on repeated content</t>
  </si>
  <si>
    <t>Price per 1M cached input tokens (~10% of fresh input price, per standard vendor pricing)</t>
  </si>
  <si>
    <t>Rewards well-designed agents that reuse stable context</t>
  </si>
  <si>
    <t xml:space="preserve">New (uncached) AI model input tokens consumed per campaign which include campaign briefs, copy, audience rules, policy docs read by the AI agent </t>
  </si>
  <si>
    <t>Tokens the model generates per campaign which include campaign configs, QA summaries, audit entries</t>
  </si>
  <si>
    <t>Output tokens are priced ~6x input, so they dominate the per-campaign token bill</t>
  </si>
  <si>
    <t>Price per 1M output tokens</t>
  </si>
  <si>
    <t>The most expensive token type -worth monitoring as usage scales</t>
  </si>
  <si>
    <t>No material ROI impact</t>
  </si>
  <si>
    <t>Still immaterial in absolute terms: ~$2.25 of the ~$3 base token cost per campaign (see row 41)</t>
  </si>
  <si>
    <t xml:space="preserve">Multiplier applied to the naive token estimate to reflect real agentic behaviour as tool calls, retries and multi-turn loops routinely run 5-20x the initial estimates </t>
  </si>
  <si>
    <t>Under-budgeting AI usage is the most common credibility gap in agentic business cases</t>
  </si>
  <si>
    <t>Even at the worst case (20x), model cost stays under 2% of total costs. AI usage cost is NOT the risk in this case</t>
  </si>
  <si>
    <t>Calculated realistic AI cost per campaign (~$15 = base cost x 5x overhead)</t>
  </si>
  <si>
    <t>This is the number to quote when asked 'what does the AI usage actually cost per campaign?'</t>
  </si>
  <si>
    <t>Medium risk rate assumed to discount future net benefits to today's value</t>
  </si>
  <si>
    <t>Confirm against the corporate hurdle (discount) rate - if an AI risk premium needs to be added, NPV falls but stays strongly positive</t>
  </si>
  <si>
    <t>Hard vs soft savings (value created vs vallue captured)</t>
  </si>
  <si>
    <t>Productivity benefit assumes freed hours convert to real value (redeployed capacity, avoided hiring, or headcount reduction). If freed time is simply absorbed, the $ benefit is 'capacity created', not cash saved</t>
  </si>
  <si>
    <t>Campaigns launch in 1.5 days instead of 5 (see Process Uplift sheet), but no revenue value is attached to speed-to-market. Deliberately conservative: any revenue uplift from faster launches is pure upside on top of this ROI</t>
  </si>
  <si>
    <t>NPV discounts all Year 1 flows (including the $400K build) by one year. If the build cost is instead treated as paid on day 0, 3-yr NPV is ~$530K vs ~$567K shown</t>
  </si>
  <si>
    <t>The model stops at 36 months. The ~$584K/yr Year 3 run-rate continues (and grows with scope) in Years 4+, so lifetime value is materially higher than the 3-yr view</t>
  </si>
  <si>
    <t>Only internal correction effort (2 hrs) is costed. A policy miss reaching customers in a regulated environment carries compliance/incident cost not modelled - this is human-in-the-loop review gates and the governance budget (row 10) exist</t>
  </si>
  <si>
    <t>Low/base/high scenarios on the yellow high-sensitivity cells (volume, labor rate, future hours, adoption ramp) can be added to show the case survives conservative inputs</t>
  </si>
  <si>
    <t>Freed capacity can fund more campaigns. Not counted: doing so would double-count the productivity benefit, and $/campaign contribution margin requires Finance validation</t>
  </si>
  <si>
    <t>Every $1 of total 3-year cost returns ~$0.75 of net benefit on top — i.e. ~1.75x money back</t>
  </si>
  <si>
    <t>$15 of AI spend replaces ~$1,500 of labour (15 hours saved x $100 FTE cost) per campaign at  a ~1:100 exchange rate (variable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</si>
</sst>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\$#,##0;&quot;($&quot;#,##0\)"/>
    <numFmt numFmtId="167" formatCode="\$#,##0.00;&quot;($&quot;#,##0.00\)"/>
    <numFmt numFmtId="168" formatCode="\$#,##0.000"/>
    <numFmt numFmtId="169" formatCode="0.0\x"/>
    <numFmt numFmtId="170" formatCode="0.0"/>
  </numFmts>
  <fonts count="15" x14ac:knownFonts="1">
    <font>
      <sz val="11"/>
      <color theme="1"/>
      <name val="Calibri"/>
      <charset val="1"/>
    </font>
    <font>
      <sz val="10"/>
      <name val="Arial"/>
      <family val="2"/>
    </font>
    <font>
      <b/>
      <sz val="13"/>
      <color rgb="FF1F3864"/>
      <name val="Arial"/>
      <family val="2"/>
    </font>
    <font>
      <i/>
      <sz val="9"/>
      <color rgb="FF595959"/>
      <name val="Arial"/>
      <family val="2"/>
    </font>
    <font>
      <b/>
      <sz val="12"/>
      <color theme="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0"/>
      <name val="Arial"/>
      <family val="2"/>
    </font>
    <font>
      <sz val="10"/>
      <color rgb="FF0000FF"/>
      <name val="Arial"/>
      <family val="2"/>
    </font>
    <font>
      <sz val="9"/>
      <color rgb="FF595959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2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9E2F2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6" fillId="0" borderId="0" xfId="0" applyFont="1"/>
    <xf numFmtId="0" fontId="7" fillId="0" borderId="0" xfId="0" applyFont="1"/>
    <xf numFmtId="3" fontId="0" fillId="0" borderId="0" xfId="0" applyNumberFormat="1"/>
    <xf numFmtId="165" fontId="0" fillId="0" borderId="0" xfId="0" applyNumberFormat="1"/>
    <xf numFmtId="3" fontId="8" fillId="0" borderId="0" xfId="0" applyNumberFormat="1" applyFont="1" applyAlignment="1">
      <alignment horizontal="right"/>
    </xf>
    <xf numFmtId="9" fontId="0" fillId="0" borderId="0" xfId="0" applyNumberFormat="1"/>
    <xf numFmtId="0" fontId="3" fillId="0" borderId="0" xfId="0" applyFont="1" applyAlignment="1">
      <alignment vertical="top"/>
    </xf>
    <xf numFmtId="0" fontId="9" fillId="3" borderId="0" xfId="0" applyFont="1" applyFill="1"/>
    <xf numFmtId="0" fontId="11" fillId="0" borderId="0" xfId="0" applyFont="1" applyAlignment="1">
      <alignment vertical="top" wrapText="1"/>
    </xf>
    <xf numFmtId="166" fontId="10" fillId="0" borderId="0" xfId="0" applyNumberFormat="1" applyFont="1"/>
    <xf numFmtId="0" fontId="0" fillId="0" borderId="0" xfId="0" applyAlignment="1">
      <alignment vertical="center"/>
    </xf>
    <xf numFmtId="166" fontId="10" fillId="4" borderId="2" xfId="0" applyNumberFormat="1" applyFont="1" applyFill="1" applyBorder="1"/>
    <xf numFmtId="3" fontId="10" fillId="0" borderId="2" xfId="0" applyNumberFormat="1" applyFont="1" applyBorder="1"/>
    <xf numFmtId="3" fontId="10" fillId="4" borderId="2" xfId="0" applyNumberFormat="1" applyFont="1" applyFill="1" applyBorder="1"/>
    <xf numFmtId="3" fontId="12" fillId="0" borderId="2" xfId="0" applyNumberFormat="1" applyFont="1" applyBorder="1"/>
    <xf numFmtId="164" fontId="10" fillId="0" borderId="2" xfId="0" applyNumberFormat="1" applyFont="1" applyBorder="1"/>
    <xf numFmtId="164" fontId="10" fillId="4" borderId="2" xfId="0" applyNumberFormat="1" applyFont="1" applyFill="1" applyBorder="1"/>
    <xf numFmtId="167" fontId="10" fillId="0" borderId="2" xfId="0" applyNumberFormat="1" applyFont="1" applyBorder="1"/>
    <xf numFmtId="168" fontId="10" fillId="0" borderId="2" xfId="0" applyNumberFormat="1" applyFont="1" applyBorder="1"/>
    <xf numFmtId="167" fontId="12" fillId="0" borderId="2" xfId="0" applyNumberFormat="1" applyFont="1" applyBorder="1"/>
    <xf numFmtId="169" fontId="10" fillId="0" borderId="2" xfId="0" applyNumberFormat="1" applyFont="1" applyBorder="1"/>
    <xf numFmtId="0" fontId="0" fillId="3" borderId="0" xfId="0" applyFill="1"/>
    <xf numFmtId="0" fontId="0" fillId="2" borderId="0" xfId="0" applyFill="1"/>
    <xf numFmtId="0" fontId="13" fillId="2" borderId="0" xfId="0" applyFont="1" applyFill="1" applyAlignment="1">
      <alignment horizontal="center"/>
    </xf>
    <xf numFmtId="166" fontId="12" fillId="0" borderId="0" xfId="0" applyNumberFormat="1" applyFont="1"/>
    <xf numFmtId="0" fontId="9" fillId="0" borderId="0" xfId="0" applyFont="1"/>
    <xf numFmtId="166" fontId="9" fillId="6" borderId="0" xfId="0" applyNumberFormat="1" applyFont="1" applyFill="1"/>
    <xf numFmtId="166" fontId="14" fillId="0" borderId="0" xfId="0" applyNumberFormat="1" applyFont="1"/>
    <xf numFmtId="164" fontId="9" fillId="6" borderId="0" xfId="0" applyNumberFormat="1" applyFont="1" applyFill="1"/>
    <xf numFmtId="170" fontId="9" fillId="6" borderId="0" xfId="0" applyNumberFormat="1" applyFont="1" applyFill="1"/>
    <xf numFmtId="170" fontId="0" fillId="0" borderId="0" xfId="0" applyNumberFormat="1"/>
    <xf numFmtId="0" fontId="3" fillId="0" borderId="0" xfId="0" applyFont="1" applyAlignment="1">
      <alignment vertical="center"/>
    </xf>
    <xf numFmtId="0" fontId="1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10" fillId="4" borderId="2" xfId="0" applyNumberFormat="1" applyFont="1" applyFill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"/>
  <sheetViews>
    <sheetView showGridLines="0" zoomScaleNormal="100" workbookViewId="0">
      <selection activeCell="B5" sqref="B5"/>
    </sheetView>
  </sheetViews>
  <sheetFormatPr defaultColWidth="8.7109375" defaultRowHeight="15" x14ac:dyDescent="0.25"/>
  <cols>
    <col min="2" max="2" width="30.7109375" customWidth="1"/>
    <col min="3" max="3" width="19.28515625" customWidth="1"/>
    <col min="4" max="5" width="25.7109375" customWidth="1"/>
    <col min="6" max="6" width="26.85546875" customWidth="1"/>
  </cols>
  <sheetData>
    <row r="2" spans="2:6" ht="16.5" customHeight="1" x14ac:dyDescent="0.25">
      <c r="B2" s="1" t="s">
        <v>90</v>
      </c>
      <c r="C2" s="1"/>
    </row>
    <row r="3" spans="2:6" x14ac:dyDescent="0.25">
      <c r="B3" s="2"/>
      <c r="C3" s="2"/>
    </row>
    <row r="5" spans="2:6" ht="19.5" customHeight="1" x14ac:dyDescent="0.25">
      <c r="B5" s="3" t="s">
        <v>0</v>
      </c>
      <c r="C5" s="3" t="s">
        <v>1</v>
      </c>
      <c r="D5" s="4" t="s">
        <v>2</v>
      </c>
      <c r="E5" s="4" t="s">
        <v>3</v>
      </c>
      <c r="F5" s="4" t="s">
        <v>4</v>
      </c>
    </row>
    <row r="6" spans="2:6" x14ac:dyDescent="0.25">
      <c r="D6" s="5"/>
      <c r="E6" s="5"/>
      <c r="F6" s="5"/>
    </row>
    <row r="7" spans="2:6" x14ac:dyDescent="0.25">
      <c r="B7" s="6" t="s">
        <v>5</v>
      </c>
      <c r="C7" s="7" t="s">
        <v>6</v>
      </c>
      <c r="D7" s="8">
        <v>5</v>
      </c>
      <c r="E7" s="9">
        <v>1.5</v>
      </c>
      <c r="F7" s="10" t="s">
        <v>7</v>
      </c>
    </row>
    <row r="9" spans="2:6" x14ac:dyDescent="0.25">
      <c r="B9" s="6" t="s">
        <v>8</v>
      </c>
      <c r="C9" s="7" t="s">
        <v>9</v>
      </c>
      <c r="D9" s="8">
        <v>24</v>
      </c>
      <c r="E9" s="9">
        <v>9</v>
      </c>
      <c r="F9" s="10" t="s">
        <v>10</v>
      </c>
    </row>
    <row r="11" spans="2:6" x14ac:dyDescent="0.25">
      <c r="B11" s="6" t="s">
        <v>11</v>
      </c>
      <c r="C11" s="7" t="s">
        <v>12</v>
      </c>
      <c r="D11" s="11">
        <v>0.2</v>
      </c>
      <c r="E11" s="11">
        <v>0.1</v>
      </c>
      <c r="F11" s="10" t="s">
        <v>13</v>
      </c>
    </row>
    <row r="13" spans="2:6" x14ac:dyDescent="0.25">
      <c r="B13" s="6" t="s">
        <v>14</v>
      </c>
      <c r="C13" s="7" t="s">
        <v>15</v>
      </c>
      <c r="D13" s="8">
        <v>500</v>
      </c>
      <c r="E13" s="9">
        <v>550</v>
      </c>
      <c r="F13" s="10" t="s">
        <v>16</v>
      </c>
    </row>
    <row r="35" spans="4:6" ht="15" customHeight="1" x14ac:dyDescent="0.25"/>
    <row r="36" spans="4:6" x14ac:dyDescent="0.25">
      <c r="D36" s="12"/>
      <c r="E36" s="12"/>
      <c r="F36" s="1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77"/>
  <sheetViews>
    <sheetView zoomScaleNormal="100" workbookViewId="0">
      <pane xSplit="3" ySplit="5" topLeftCell="D16" activePane="bottomRight" state="frozen"/>
      <selection pane="topRight" activeCell="D1" sqref="D1"/>
      <selection pane="bottomLeft" activeCell="A6" sqref="A6"/>
      <selection pane="bottomRight" activeCell="A43" sqref="A43"/>
    </sheetView>
  </sheetViews>
  <sheetFormatPr defaultColWidth="8.7109375" defaultRowHeight="15" x14ac:dyDescent="0.25"/>
  <cols>
    <col min="2" max="2" width="55" customWidth="1"/>
    <col min="3" max="3" width="14" customWidth="1"/>
    <col min="5" max="5" width="191.5703125" bestFit="1" customWidth="1"/>
    <col min="6" max="6" width="120.85546875" bestFit="1" customWidth="1"/>
    <col min="7" max="7" width="110.5703125" bestFit="1" customWidth="1"/>
    <col min="8" max="8" width="13" customWidth="1"/>
  </cols>
  <sheetData>
    <row r="2" spans="2:11" ht="16.5" customHeight="1" x14ac:dyDescent="0.25">
      <c r="B2" s="1" t="s">
        <v>17</v>
      </c>
    </row>
    <row r="3" spans="2:11" x14ac:dyDescent="0.25">
      <c r="B3" s="2" t="s">
        <v>18</v>
      </c>
      <c r="E3" s="2"/>
    </row>
    <row r="5" spans="2:11" x14ac:dyDescent="0.25">
      <c r="B5" s="13" t="s">
        <v>19</v>
      </c>
      <c r="C5" s="13"/>
      <c r="E5" s="13" t="s">
        <v>107</v>
      </c>
      <c r="F5" s="13" t="s">
        <v>108</v>
      </c>
      <c r="G5" s="13" t="s">
        <v>109</v>
      </c>
    </row>
    <row r="6" spans="2:11" ht="15" customHeight="1" x14ac:dyDescent="0.25">
      <c r="J6" s="14"/>
      <c r="K6" s="14"/>
    </row>
    <row r="7" spans="2:11" ht="15" customHeight="1" x14ac:dyDescent="0.25">
      <c r="B7" t="s">
        <v>20</v>
      </c>
      <c r="C7" s="40">
        <v>500</v>
      </c>
      <c r="E7" s="41" t="s">
        <v>110</v>
      </c>
      <c r="F7" s="41" t="s">
        <v>111</v>
      </c>
      <c r="G7" s="41" t="s">
        <v>112</v>
      </c>
      <c r="H7" s="41"/>
      <c r="I7" s="14"/>
      <c r="J7" s="14"/>
      <c r="K7" s="14"/>
    </row>
    <row r="8" spans="2:11" ht="15" customHeight="1" x14ac:dyDescent="0.25">
      <c r="B8" t="s">
        <v>21</v>
      </c>
      <c r="C8" s="15">
        <v>400000</v>
      </c>
      <c r="E8" s="41" t="s">
        <v>117</v>
      </c>
      <c r="F8" s="41" t="s">
        <v>114</v>
      </c>
      <c r="G8" s="41" t="s">
        <v>95</v>
      </c>
      <c r="H8" s="41"/>
      <c r="I8" s="14"/>
      <c r="J8" s="14"/>
      <c r="K8" s="14"/>
    </row>
    <row r="9" spans="2:11" ht="15" customHeight="1" x14ac:dyDescent="0.25">
      <c r="B9" t="s">
        <v>22</v>
      </c>
      <c r="C9" s="15">
        <v>100000</v>
      </c>
      <c r="E9" s="41" t="s">
        <v>113</v>
      </c>
      <c r="F9" s="41" t="s">
        <v>115</v>
      </c>
      <c r="G9" s="41" t="s">
        <v>116</v>
      </c>
      <c r="H9" s="41"/>
      <c r="I9" s="14"/>
      <c r="J9" s="14"/>
      <c r="K9" s="14"/>
    </row>
    <row r="10" spans="2:11" ht="15" customHeight="1" x14ac:dyDescent="0.25">
      <c r="B10" t="s">
        <v>23</v>
      </c>
      <c r="C10" s="15">
        <v>100000</v>
      </c>
      <c r="E10" s="41" t="s">
        <v>118</v>
      </c>
      <c r="F10" s="41" t="s">
        <v>120</v>
      </c>
      <c r="G10" s="41" t="s">
        <v>119</v>
      </c>
      <c r="I10" s="14"/>
      <c r="J10" s="14"/>
      <c r="K10" s="14"/>
    </row>
    <row r="11" spans="2:11" ht="15" customHeight="1" x14ac:dyDescent="0.25">
      <c r="F11" s="14"/>
      <c r="G11" s="14"/>
      <c r="H11" s="14"/>
      <c r="I11" s="14"/>
      <c r="J11" s="14"/>
      <c r="K11" s="14"/>
    </row>
    <row r="12" spans="2:11" ht="15" customHeight="1" x14ac:dyDescent="0.25">
      <c r="B12" s="13" t="s">
        <v>24</v>
      </c>
      <c r="C12" s="13"/>
      <c r="I12" s="14"/>
      <c r="J12" s="14"/>
      <c r="K12" s="14"/>
    </row>
    <row r="13" spans="2:11" ht="15" customHeight="1" x14ac:dyDescent="0.25">
      <c r="B13" s="16" t="s">
        <v>25</v>
      </c>
      <c r="C13" s="17">
        <v>100</v>
      </c>
      <c r="E13" s="41" t="s">
        <v>121</v>
      </c>
      <c r="F13" s="41" t="s">
        <v>122</v>
      </c>
      <c r="G13" s="41" t="s">
        <v>123</v>
      </c>
      <c r="I13" s="14"/>
      <c r="J13" s="14"/>
      <c r="K13" s="14"/>
    </row>
    <row r="14" spans="2:11" ht="15" customHeight="1" x14ac:dyDescent="0.25">
      <c r="B14" t="s">
        <v>26</v>
      </c>
      <c r="C14" s="18">
        <v>24</v>
      </c>
      <c r="E14" s="41" t="s">
        <v>124</v>
      </c>
      <c r="F14" s="41" t="s">
        <v>125</v>
      </c>
      <c r="G14" s="41" t="s">
        <v>126</v>
      </c>
      <c r="H14" s="41"/>
      <c r="I14" s="14"/>
      <c r="J14" s="14"/>
      <c r="K14" s="14"/>
    </row>
    <row r="15" spans="2:11" ht="15" customHeight="1" x14ac:dyDescent="0.25">
      <c r="B15" s="16" t="s">
        <v>27</v>
      </c>
      <c r="C15" s="19">
        <v>9</v>
      </c>
      <c r="E15" s="41" t="s">
        <v>127</v>
      </c>
      <c r="F15" s="41" t="s">
        <v>128</v>
      </c>
      <c r="G15" s="41" t="s">
        <v>129</v>
      </c>
      <c r="H15" s="41"/>
      <c r="I15" s="14"/>
      <c r="J15" s="14"/>
      <c r="K15" s="14"/>
    </row>
    <row r="16" spans="2:11" ht="15" customHeight="1" x14ac:dyDescent="0.25">
      <c r="B16" t="s">
        <v>28</v>
      </c>
      <c r="C16" s="20">
        <f>C14-C15</f>
        <v>15</v>
      </c>
      <c r="E16" s="41" t="s">
        <v>101</v>
      </c>
      <c r="F16" s="41" t="s">
        <v>131</v>
      </c>
      <c r="G16" s="41" t="s">
        <v>130</v>
      </c>
      <c r="H16" s="41"/>
      <c r="I16" s="14"/>
      <c r="J16" s="14"/>
      <c r="K16" s="14"/>
    </row>
    <row r="17" spans="2:11" ht="15" customHeight="1" x14ac:dyDescent="0.25">
      <c r="E17" s="16"/>
      <c r="F17" s="14"/>
      <c r="G17" s="14"/>
      <c r="H17" s="14"/>
      <c r="I17" s="14"/>
      <c r="J17" s="14"/>
      <c r="K17" s="14"/>
    </row>
    <row r="18" spans="2:11" ht="15" customHeight="1" x14ac:dyDescent="0.25">
      <c r="B18" s="13" t="s">
        <v>29</v>
      </c>
      <c r="C18" s="13"/>
      <c r="I18" s="14"/>
      <c r="J18" s="14"/>
      <c r="K18" s="14"/>
    </row>
    <row r="19" spans="2:11" ht="15" customHeight="1" x14ac:dyDescent="0.25">
      <c r="B19" t="s">
        <v>30</v>
      </c>
      <c r="C19" s="21">
        <v>0.2</v>
      </c>
      <c r="E19" s="41" t="s">
        <v>132</v>
      </c>
      <c r="F19" s="41" t="s">
        <v>133</v>
      </c>
      <c r="G19" s="41" t="s">
        <v>96</v>
      </c>
      <c r="H19" s="41"/>
      <c r="I19" s="14"/>
      <c r="J19" s="14"/>
      <c r="K19" s="14"/>
    </row>
    <row r="20" spans="2:11" ht="15" customHeight="1" x14ac:dyDescent="0.25">
      <c r="B20" t="s">
        <v>31</v>
      </c>
      <c r="C20" s="18">
        <v>6</v>
      </c>
      <c r="E20" s="41" t="s">
        <v>134</v>
      </c>
      <c r="F20" s="41" t="s">
        <v>135</v>
      </c>
      <c r="G20" s="41" t="s">
        <v>136</v>
      </c>
      <c r="H20" s="41"/>
      <c r="I20" s="14"/>
      <c r="J20" s="14"/>
      <c r="K20" s="14"/>
    </row>
    <row r="21" spans="2:11" ht="15" customHeight="1" x14ac:dyDescent="0.25">
      <c r="B21" t="s">
        <v>32</v>
      </c>
      <c r="C21" s="22">
        <v>0.1</v>
      </c>
      <c r="E21" s="41" t="s">
        <v>137</v>
      </c>
      <c r="F21" s="41" t="s">
        <v>138</v>
      </c>
      <c r="G21" s="41" t="s">
        <v>139</v>
      </c>
      <c r="H21" s="41"/>
      <c r="I21" s="14"/>
      <c r="J21" s="14"/>
      <c r="K21" s="14"/>
    </row>
    <row r="22" spans="2:11" ht="15" customHeight="1" x14ac:dyDescent="0.25">
      <c r="B22" t="s">
        <v>33</v>
      </c>
      <c r="C22" s="18">
        <v>3</v>
      </c>
      <c r="E22" s="41" t="s">
        <v>140</v>
      </c>
      <c r="F22" s="41" t="s">
        <v>141</v>
      </c>
      <c r="G22" s="41" t="s">
        <v>142</v>
      </c>
      <c r="H22" s="41"/>
      <c r="I22" s="14"/>
      <c r="J22" s="14"/>
      <c r="K22" s="14"/>
    </row>
    <row r="23" spans="2:11" ht="15" customHeight="1" x14ac:dyDescent="0.25">
      <c r="C23" s="18"/>
      <c r="E23" s="16"/>
      <c r="F23" s="16"/>
      <c r="G23" s="16"/>
      <c r="H23" s="16"/>
      <c r="I23" s="14"/>
      <c r="J23" s="14"/>
      <c r="K23" s="14"/>
    </row>
    <row r="24" spans="2:11" ht="15" customHeight="1" x14ac:dyDescent="0.25">
      <c r="B24" s="16" t="s">
        <v>34</v>
      </c>
      <c r="C24" s="18">
        <v>2</v>
      </c>
      <c r="E24" s="41" t="s">
        <v>143</v>
      </c>
      <c r="F24" s="41" t="s">
        <v>144</v>
      </c>
      <c r="G24" s="41" t="s">
        <v>145</v>
      </c>
      <c r="H24" s="41"/>
      <c r="I24" s="14"/>
      <c r="J24" s="14"/>
      <c r="K24" s="14"/>
    </row>
    <row r="25" spans="2:11" ht="15" customHeight="1" x14ac:dyDescent="0.25">
      <c r="B25" s="16" t="s">
        <v>35</v>
      </c>
      <c r="C25" s="22">
        <v>0.1</v>
      </c>
      <c r="E25" s="41" t="s">
        <v>102</v>
      </c>
      <c r="F25" s="41" t="s">
        <v>144</v>
      </c>
      <c r="G25" s="41" t="s">
        <v>146</v>
      </c>
      <c r="H25" s="41"/>
      <c r="I25" s="14"/>
      <c r="J25" s="14"/>
      <c r="K25" s="14"/>
    </row>
    <row r="26" spans="2:11" ht="15" customHeight="1" x14ac:dyDescent="0.25">
      <c r="B26" t="s">
        <v>36</v>
      </c>
      <c r="C26" s="21">
        <v>0.05</v>
      </c>
      <c r="E26" s="41" t="s">
        <v>103</v>
      </c>
      <c r="F26" s="41" t="s">
        <v>91</v>
      </c>
      <c r="G26" s="41" t="s">
        <v>147</v>
      </c>
      <c r="H26" s="41"/>
      <c r="I26" s="14"/>
      <c r="J26" s="14"/>
      <c r="K26" s="14"/>
    </row>
    <row r="27" spans="2:11" ht="15" customHeight="1" x14ac:dyDescent="0.25">
      <c r="B27" t="s">
        <v>37</v>
      </c>
      <c r="C27" s="21">
        <v>0.03</v>
      </c>
      <c r="E27" s="41" t="s">
        <v>104</v>
      </c>
      <c r="F27" s="41" t="s">
        <v>92</v>
      </c>
      <c r="G27" s="41" t="s">
        <v>148</v>
      </c>
      <c r="H27" s="41"/>
      <c r="I27" s="14"/>
      <c r="J27" s="14"/>
      <c r="K27" s="14"/>
    </row>
    <row r="28" spans="2:11" ht="15" customHeight="1" x14ac:dyDescent="0.25">
      <c r="E28" s="16"/>
      <c r="F28" s="14"/>
      <c r="G28" s="14"/>
      <c r="H28" s="14"/>
      <c r="I28" s="14"/>
      <c r="J28" s="14"/>
      <c r="K28" s="14"/>
    </row>
    <row r="29" spans="2:11" ht="15" customHeight="1" x14ac:dyDescent="0.25">
      <c r="B29" s="13" t="s">
        <v>38</v>
      </c>
      <c r="C29" s="13"/>
      <c r="J29" s="14"/>
      <c r="K29" s="14"/>
    </row>
    <row r="30" spans="2:11" ht="15" customHeight="1" x14ac:dyDescent="0.25">
      <c r="B30" t="s">
        <v>39</v>
      </c>
      <c r="C30" s="21">
        <v>0.5</v>
      </c>
      <c r="E30" s="41" t="s">
        <v>151</v>
      </c>
      <c r="F30" s="41" t="s">
        <v>152</v>
      </c>
      <c r="G30" s="41" t="s">
        <v>153</v>
      </c>
      <c r="H30" s="41"/>
      <c r="I30" s="41"/>
      <c r="J30" s="14"/>
      <c r="K30" s="14"/>
    </row>
    <row r="31" spans="2:11" ht="15" customHeight="1" x14ac:dyDescent="0.25">
      <c r="B31" t="s">
        <v>40</v>
      </c>
      <c r="C31" s="21">
        <v>0.75</v>
      </c>
      <c r="E31" s="41" t="s">
        <v>150</v>
      </c>
      <c r="F31" s="41" t="s">
        <v>154</v>
      </c>
      <c r="G31" s="41" t="s">
        <v>97</v>
      </c>
      <c r="H31" s="41"/>
      <c r="I31" s="41"/>
      <c r="J31" s="14"/>
      <c r="K31" s="14"/>
    </row>
    <row r="32" spans="2:11" ht="15" customHeight="1" x14ac:dyDescent="0.25">
      <c r="B32" t="s">
        <v>41</v>
      </c>
      <c r="C32" s="21">
        <v>1</v>
      </c>
      <c r="E32" s="41" t="s">
        <v>149</v>
      </c>
      <c r="F32" s="41" t="s">
        <v>155</v>
      </c>
      <c r="G32" s="41" t="s">
        <v>156</v>
      </c>
      <c r="H32" s="41"/>
      <c r="I32" s="41"/>
      <c r="J32" s="14"/>
      <c r="K32" s="14"/>
    </row>
    <row r="33" spans="2:11" ht="15" customHeight="1" x14ac:dyDescent="0.25">
      <c r="E33" s="16"/>
      <c r="F33" s="14"/>
      <c r="G33" s="14"/>
      <c r="H33" s="14"/>
      <c r="I33" s="14"/>
      <c r="J33" s="14"/>
      <c r="K33" s="14"/>
    </row>
    <row r="34" spans="2:11" ht="15" customHeight="1" x14ac:dyDescent="0.25">
      <c r="B34" s="13" t="s">
        <v>42</v>
      </c>
      <c r="C34" s="13"/>
      <c r="J34" s="14"/>
      <c r="K34" s="14"/>
    </row>
    <row r="35" spans="2:11" ht="15" customHeight="1" x14ac:dyDescent="0.25">
      <c r="B35" t="s">
        <v>43</v>
      </c>
      <c r="C35" s="18">
        <v>1000000</v>
      </c>
      <c r="E35" s="41" t="s">
        <v>166</v>
      </c>
      <c r="F35" s="41" t="s">
        <v>157</v>
      </c>
      <c r="G35" s="41" t="s">
        <v>158</v>
      </c>
      <c r="H35" s="41"/>
      <c r="I35" s="41"/>
      <c r="J35" s="14"/>
      <c r="K35" s="14"/>
    </row>
    <row r="36" spans="2:11" ht="15" customHeight="1" x14ac:dyDescent="0.25">
      <c r="B36" t="s">
        <v>44</v>
      </c>
      <c r="C36" s="23">
        <v>0.75</v>
      </c>
      <c r="E36" s="41" t="s">
        <v>159</v>
      </c>
      <c r="F36" s="41" t="s">
        <v>160</v>
      </c>
      <c r="G36" s="41" t="s">
        <v>161</v>
      </c>
      <c r="H36" s="41"/>
      <c r="I36" s="41"/>
      <c r="J36" s="14"/>
      <c r="K36" s="14"/>
    </row>
    <row r="37" spans="2:11" ht="15" customHeight="1" x14ac:dyDescent="0.25">
      <c r="B37" t="s">
        <v>45</v>
      </c>
      <c r="C37" s="18">
        <f>C35/2</f>
        <v>500000</v>
      </c>
      <c r="E37" s="41" t="s">
        <v>162</v>
      </c>
      <c r="F37" s="41" t="s">
        <v>163</v>
      </c>
      <c r="G37" s="41" t="s">
        <v>98</v>
      </c>
      <c r="H37" s="41"/>
      <c r="I37" s="41"/>
      <c r="J37" s="14"/>
      <c r="K37" s="14"/>
    </row>
    <row r="38" spans="2:11" ht="15" customHeight="1" x14ac:dyDescent="0.25">
      <c r="B38" t="s">
        <v>46</v>
      </c>
      <c r="C38" s="24">
        <v>7.4999999999999997E-2</v>
      </c>
      <c r="E38" s="41" t="s">
        <v>164</v>
      </c>
      <c r="F38" s="41" t="s">
        <v>165</v>
      </c>
      <c r="G38" s="41" t="s">
        <v>99</v>
      </c>
      <c r="H38" s="41"/>
      <c r="I38" s="41"/>
      <c r="J38" s="14"/>
      <c r="K38" s="14"/>
    </row>
    <row r="39" spans="2:11" ht="15" customHeight="1" x14ac:dyDescent="0.25">
      <c r="B39" t="s">
        <v>47</v>
      </c>
      <c r="C39" s="18">
        <f>C35/2</f>
        <v>500000</v>
      </c>
      <c r="E39" s="41" t="s">
        <v>167</v>
      </c>
      <c r="F39" s="41" t="s">
        <v>168</v>
      </c>
      <c r="G39" s="41" t="s">
        <v>172</v>
      </c>
      <c r="H39" s="41"/>
      <c r="I39" s="41"/>
      <c r="J39" s="14"/>
      <c r="K39" s="14"/>
    </row>
    <row r="40" spans="2:11" ht="15" customHeight="1" x14ac:dyDescent="0.25">
      <c r="B40" t="s">
        <v>48</v>
      </c>
      <c r="C40" s="23">
        <v>4.5</v>
      </c>
      <c r="E40" s="41" t="s">
        <v>169</v>
      </c>
      <c r="F40" s="41" t="s">
        <v>170</v>
      </c>
      <c r="G40" s="41" t="s">
        <v>171</v>
      </c>
      <c r="H40" s="41"/>
      <c r="I40" s="41"/>
      <c r="J40" s="14"/>
      <c r="K40" s="14"/>
    </row>
    <row r="41" spans="2:11" ht="15" customHeight="1" x14ac:dyDescent="0.25">
      <c r="B41" t="s">
        <v>49</v>
      </c>
      <c r="C41" s="25">
        <f>C35/1000000*C36+C37/1000000*C38+C39/1000000*C40</f>
        <v>3.0375000000000001</v>
      </c>
      <c r="E41" s="41" t="s">
        <v>105</v>
      </c>
      <c r="F41" s="41" t="s">
        <v>93</v>
      </c>
      <c r="G41" s="41" t="s">
        <v>100</v>
      </c>
      <c r="H41" s="41"/>
      <c r="I41" s="41"/>
      <c r="J41" s="14"/>
      <c r="K41" s="14"/>
    </row>
    <row r="42" spans="2:11" ht="15" customHeight="1" x14ac:dyDescent="0.25">
      <c r="B42" t="s">
        <v>50</v>
      </c>
      <c r="C42" s="26">
        <v>5</v>
      </c>
      <c r="E42" s="41" t="s">
        <v>173</v>
      </c>
      <c r="F42" s="41" t="s">
        <v>174</v>
      </c>
      <c r="G42" s="41" t="s">
        <v>175</v>
      </c>
      <c r="H42" s="41"/>
      <c r="I42" s="41"/>
      <c r="J42" s="14"/>
      <c r="K42" s="14"/>
    </row>
    <row r="43" spans="2:11" ht="15" customHeight="1" x14ac:dyDescent="0.25">
      <c r="B43" t="s">
        <v>51</v>
      </c>
      <c r="C43" s="25">
        <f>C41*C42</f>
        <v>15.1875</v>
      </c>
      <c r="E43" s="41" t="s">
        <v>176</v>
      </c>
      <c r="F43" s="41" t="s">
        <v>177</v>
      </c>
      <c r="G43" s="41" t="s">
        <v>189</v>
      </c>
      <c r="H43" s="41"/>
      <c r="I43" s="41"/>
      <c r="J43" s="14"/>
      <c r="K43" s="14"/>
    </row>
    <row r="44" spans="2:11" ht="15" customHeight="1" x14ac:dyDescent="0.25">
      <c r="E44" s="16"/>
      <c r="F44" s="14"/>
      <c r="G44" s="14"/>
      <c r="H44" s="14"/>
      <c r="I44" s="14"/>
      <c r="J44" s="14"/>
      <c r="K44" s="14"/>
    </row>
    <row r="45" spans="2:11" ht="15" customHeight="1" x14ac:dyDescent="0.25">
      <c r="B45" s="13" t="s">
        <v>52</v>
      </c>
      <c r="C45" s="13"/>
      <c r="I45" s="14"/>
      <c r="J45" s="14"/>
      <c r="K45" s="14"/>
    </row>
    <row r="46" spans="2:11" ht="15" customHeight="1" x14ac:dyDescent="0.25">
      <c r="B46" t="s">
        <v>53</v>
      </c>
      <c r="C46" s="21">
        <v>0.15</v>
      </c>
      <c r="E46" s="41" t="s">
        <v>178</v>
      </c>
      <c r="F46" s="14" t="s">
        <v>94</v>
      </c>
      <c r="G46" s="14" t="s">
        <v>179</v>
      </c>
      <c r="H46" s="14"/>
      <c r="I46" s="14"/>
      <c r="J46" s="14"/>
      <c r="K46" s="14"/>
    </row>
    <row r="47" spans="2:11" ht="15" customHeight="1" x14ac:dyDescent="0.25">
      <c r="F47" s="14"/>
      <c r="G47" s="14"/>
      <c r="H47" s="14"/>
      <c r="I47" s="14"/>
      <c r="J47" s="14"/>
      <c r="K47" s="14"/>
    </row>
    <row r="48" spans="2:11" ht="15" customHeight="1" x14ac:dyDescent="0.25">
      <c r="B48" s="13" t="s">
        <v>106</v>
      </c>
      <c r="C48" s="27"/>
      <c r="G48" s="14"/>
      <c r="H48" s="14"/>
      <c r="I48" s="14"/>
      <c r="J48" s="14"/>
      <c r="K48" s="14"/>
    </row>
    <row r="49" spans="2:11" ht="15" customHeight="1" x14ac:dyDescent="0.25">
      <c r="B49" s="39" t="s">
        <v>180</v>
      </c>
      <c r="E49" s="41" t="s">
        <v>181</v>
      </c>
      <c r="F49" s="41"/>
      <c r="G49" s="14"/>
      <c r="H49" s="14"/>
      <c r="I49" s="14"/>
      <c r="J49" s="14"/>
      <c r="K49" s="14"/>
    </row>
    <row r="50" spans="2:11" ht="15" customHeight="1" x14ac:dyDescent="0.25">
      <c r="B50" s="38" t="s">
        <v>54</v>
      </c>
      <c r="E50" s="41" t="s">
        <v>182</v>
      </c>
      <c r="F50" s="41"/>
      <c r="G50" s="14"/>
      <c r="H50" s="14"/>
      <c r="I50" s="14"/>
      <c r="J50" s="14"/>
      <c r="K50" s="14"/>
    </row>
    <row r="51" spans="2:11" ht="15" customHeight="1" x14ac:dyDescent="0.25">
      <c r="B51" s="38" t="s">
        <v>55</v>
      </c>
      <c r="E51" s="41" t="s">
        <v>56</v>
      </c>
      <c r="F51" s="41"/>
      <c r="G51" s="14"/>
      <c r="H51" s="14"/>
      <c r="I51" s="14"/>
      <c r="J51" s="14"/>
      <c r="K51" s="14"/>
    </row>
    <row r="52" spans="2:11" ht="15" customHeight="1" x14ac:dyDescent="0.25">
      <c r="B52" s="38" t="s">
        <v>57</v>
      </c>
      <c r="E52" s="41" t="s">
        <v>183</v>
      </c>
      <c r="F52" s="41"/>
      <c r="G52" s="14"/>
      <c r="H52" s="14"/>
      <c r="I52" s="14"/>
      <c r="J52" s="14"/>
      <c r="K52" s="14"/>
    </row>
    <row r="53" spans="2:11" ht="15" customHeight="1" x14ac:dyDescent="0.25">
      <c r="B53" s="38" t="s">
        <v>58</v>
      </c>
      <c r="E53" s="41" t="s">
        <v>184</v>
      </c>
      <c r="F53" s="41"/>
      <c r="G53" s="14"/>
      <c r="H53" s="14"/>
      <c r="I53" s="14"/>
      <c r="J53" s="14"/>
      <c r="K53" s="14"/>
    </row>
    <row r="54" spans="2:11" ht="15" customHeight="1" x14ac:dyDescent="0.25">
      <c r="B54" s="38" t="s">
        <v>59</v>
      </c>
      <c r="E54" s="41" t="s">
        <v>185</v>
      </c>
      <c r="F54" s="41"/>
      <c r="G54" s="14"/>
      <c r="H54" s="14"/>
      <c r="I54" s="14"/>
      <c r="J54" s="14"/>
      <c r="K54" s="14"/>
    </row>
    <row r="55" spans="2:11" ht="15" customHeight="1" x14ac:dyDescent="0.25">
      <c r="B55" s="38" t="s">
        <v>60</v>
      </c>
      <c r="E55" s="41" t="s">
        <v>186</v>
      </c>
      <c r="F55" s="41"/>
      <c r="G55" s="14"/>
      <c r="H55" s="14"/>
      <c r="I55" s="14"/>
      <c r="J55" s="14"/>
      <c r="K55" s="14"/>
    </row>
    <row r="56" spans="2:11" x14ac:dyDescent="0.25">
      <c r="F56" s="14"/>
      <c r="G56" s="14"/>
      <c r="H56" s="14"/>
      <c r="I56" s="14"/>
      <c r="J56" s="14"/>
      <c r="K56" s="14"/>
    </row>
    <row r="57" spans="2:11" x14ac:dyDescent="0.25">
      <c r="F57" s="14"/>
      <c r="G57" s="14"/>
      <c r="H57" s="14"/>
      <c r="I57" s="14"/>
      <c r="J57" s="14"/>
      <c r="K57" s="14"/>
    </row>
    <row r="58" spans="2:11" x14ac:dyDescent="0.25">
      <c r="F58" s="14"/>
      <c r="G58" s="14"/>
      <c r="H58" s="14"/>
      <c r="I58" s="14"/>
      <c r="J58" s="14"/>
      <c r="K58" s="14"/>
    </row>
    <row r="59" spans="2:11" x14ac:dyDescent="0.25">
      <c r="F59" s="14"/>
      <c r="G59" s="14"/>
      <c r="H59" s="14"/>
      <c r="I59" s="14"/>
      <c r="J59" s="14"/>
      <c r="K59" s="14"/>
    </row>
    <row r="60" spans="2:11" x14ac:dyDescent="0.25">
      <c r="F60" s="14"/>
      <c r="G60" s="14"/>
      <c r="H60" s="14"/>
      <c r="I60" s="14"/>
      <c r="J60" s="14"/>
      <c r="K60" s="14"/>
    </row>
    <row r="61" spans="2:11" x14ac:dyDescent="0.25">
      <c r="F61" s="14"/>
      <c r="G61" s="14"/>
      <c r="H61" s="14"/>
      <c r="I61" s="14"/>
      <c r="J61" s="14"/>
      <c r="K61" s="14"/>
    </row>
    <row r="62" spans="2:11" x14ac:dyDescent="0.25">
      <c r="F62" s="14"/>
      <c r="G62" s="14"/>
      <c r="H62" s="14"/>
      <c r="I62" s="14"/>
      <c r="J62" s="14"/>
      <c r="K62" s="14"/>
    </row>
    <row r="63" spans="2:11" x14ac:dyDescent="0.25">
      <c r="F63" s="14"/>
      <c r="G63" s="14"/>
      <c r="H63" s="14"/>
      <c r="I63" s="14"/>
      <c r="J63" s="14"/>
      <c r="K63" s="14"/>
    </row>
    <row r="64" spans="2:11" x14ac:dyDescent="0.25">
      <c r="F64" s="14"/>
      <c r="G64" s="14"/>
      <c r="H64" s="14"/>
      <c r="I64" s="14"/>
      <c r="J64" s="14"/>
      <c r="K64" s="14"/>
    </row>
    <row r="65" spans="6:11" x14ac:dyDescent="0.25">
      <c r="F65" s="14"/>
      <c r="G65" s="14"/>
      <c r="H65" s="14"/>
      <c r="I65" s="14"/>
      <c r="J65" s="14"/>
      <c r="K65" s="14"/>
    </row>
    <row r="66" spans="6:11" x14ac:dyDescent="0.25">
      <c r="F66" s="14"/>
      <c r="G66" s="14"/>
      <c r="H66" s="14"/>
      <c r="I66" s="14"/>
      <c r="J66" s="14"/>
      <c r="K66" s="14"/>
    </row>
    <row r="67" spans="6:11" x14ac:dyDescent="0.25">
      <c r="F67" s="14"/>
      <c r="G67" s="14"/>
      <c r="H67" s="14"/>
      <c r="I67" s="14"/>
      <c r="J67" s="14"/>
      <c r="K67" s="14"/>
    </row>
    <row r="68" spans="6:11" x14ac:dyDescent="0.25">
      <c r="F68" s="14"/>
      <c r="G68" s="14"/>
      <c r="H68" s="14"/>
      <c r="I68" s="14"/>
      <c r="J68" s="14"/>
      <c r="K68" s="14"/>
    </row>
    <row r="69" spans="6:11" x14ac:dyDescent="0.25">
      <c r="F69" s="14"/>
      <c r="G69" s="14"/>
      <c r="H69" s="14"/>
      <c r="I69" s="14"/>
      <c r="J69" s="14"/>
      <c r="K69" s="14"/>
    </row>
    <row r="70" spans="6:11" x14ac:dyDescent="0.25">
      <c r="F70" s="14"/>
      <c r="G70" s="14"/>
      <c r="H70" s="14"/>
      <c r="I70" s="14"/>
      <c r="J70" s="14"/>
      <c r="K70" s="14"/>
    </row>
    <row r="71" spans="6:11" x14ac:dyDescent="0.25">
      <c r="F71" s="14"/>
      <c r="G71" s="14"/>
      <c r="H71" s="14"/>
      <c r="I71" s="14"/>
      <c r="J71" s="14"/>
      <c r="K71" s="14"/>
    </row>
    <row r="72" spans="6:11" x14ac:dyDescent="0.25">
      <c r="F72" s="14"/>
      <c r="G72" s="14"/>
      <c r="H72" s="14"/>
      <c r="I72" s="14"/>
      <c r="J72" s="14"/>
      <c r="K72" s="14"/>
    </row>
    <row r="73" spans="6:11" x14ac:dyDescent="0.25">
      <c r="F73" s="14"/>
      <c r="G73" s="14"/>
      <c r="H73" s="14"/>
      <c r="I73" s="14"/>
      <c r="J73" s="14"/>
      <c r="K73" s="14"/>
    </row>
    <row r="74" spans="6:11" x14ac:dyDescent="0.25">
      <c r="F74" s="14"/>
      <c r="G74" s="14"/>
      <c r="H74" s="14"/>
      <c r="I74" s="14"/>
      <c r="J74" s="14"/>
      <c r="K74" s="14"/>
    </row>
    <row r="75" spans="6:11" x14ac:dyDescent="0.25">
      <c r="F75" s="14"/>
      <c r="G75" s="14"/>
      <c r="H75" s="14"/>
      <c r="I75" s="14"/>
      <c r="J75" s="14"/>
      <c r="K75" s="14"/>
    </row>
    <row r="76" spans="6:11" x14ac:dyDescent="0.25">
      <c r="F76" s="14"/>
      <c r="G76" s="14"/>
      <c r="H76" s="14"/>
      <c r="I76" s="14"/>
      <c r="J76" s="14"/>
      <c r="K76" s="14"/>
    </row>
    <row r="77" spans="6:11" x14ac:dyDescent="0.25">
      <c r="F77" s="14"/>
      <c r="G77" s="14"/>
      <c r="H77" s="14"/>
      <c r="I77" s="14"/>
      <c r="J77" s="14"/>
      <c r="K77" s="1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36"/>
  <sheetViews>
    <sheetView tabSelected="1" zoomScaleNormal="100" workbookViewId="0">
      <selection activeCell="G19" sqref="G19"/>
    </sheetView>
  </sheetViews>
  <sheetFormatPr defaultColWidth="8.7109375" defaultRowHeight="15" x14ac:dyDescent="0.25"/>
  <cols>
    <col min="2" max="2" width="42" customWidth="1"/>
    <col min="3" max="5" width="15" customWidth="1"/>
  </cols>
  <sheetData>
    <row r="2" spans="2:5" ht="16.5" customHeight="1" x14ac:dyDescent="0.25">
      <c r="B2" s="1" t="s">
        <v>61</v>
      </c>
    </row>
    <row r="3" spans="2:5" x14ac:dyDescent="0.25">
      <c r="B3" s="2" t="s">
        <v>62</v>
      </c>
    </row>
    <row r="5" spans="2:5" x14ac:dyDescent="0.25">
      <c r="B5" s="28"/>
      <c r="C5" s="29" t="s">
        <v>63</v>
      </c>
      <c r="D5" s="29" t="s">
        <v>64</v>
      </c>
      <c r="E5" s="29" t="s">
        <v>65</v>
      </c>
    </row>
    <row r="6" spans="2:5" x14ac:dyDescent="0.25">
      <c r="B6" t="s">
        <v>66</v>
      </c>
      <c r="C6" s="5">
        <f>'ROI Model Assumptions'!C30</f>
        <v>0.5</v>
      </c>
      <c r="D6" s="5">
        <f>'ROI Model Assumptions'!C31</f>
        <v>0.75</v>
      </c>
      <c r="E6" s="5">
        <f>'ROI Model Assumptions'!C32</f>
        <v>1</v>
      </c>
    </row>
    <row r="7" spans="2:5" x14ac:dyDescent="0.25">
      <c r="B7" t="s">
        <v>67</v>
      </c>
      <c r="C7" s="8">
        <f>'ROI Model Assumptions'!$C$7*C6</f>
        <v>250</v>
      </c>
      <c r="D7" s="8">
        <f>'ROI Model Assumptions'!$C$7*D6</f>
        <v>375</v>
      </c>
      <c r="E7" s="8">
        <f>'ROI Model Assumptions'!$C$7*E6</f>
        <v>500</v>
      </c>
    </row>
    <row r="9" spans="2:5" x14ac:dyDescent="0.25">
      <c r="B9" s="13" t="s">
        <v>68</v>
      </c>
      <c r="C9" s="13"/>
      <c r="D9" s="13"/>
      <c r="E9" s="13"/>
    </row>
    <row r="10" spans="2:5" x14ac:dyDescent="0.25">
      <c r="B10" t="s">
        <v>69</v>
      </c>
      <c r="C10" s="30">
        <f>C7*'ROI Model Assumptions'!$C$16*'ROI Model Assumptions'!$C$13</f>
        <v>375000</v>
      </c>
      <c r="D10" s="30">
        <f>D7*'ROI Model Assumptions'!$C$16*'ROI Model Assumptions'!$C$13</f>
        <v>562500</v>
      </c>
      <c r="E10" s="30">
        <f>E7*'ROI Model Assumptions'!$C$16*'ROI Model Assumptions'!$C$13</f>
        <v>750000</v>
      </c>
    </row>
    <row r="11" spans="2:5" x14ac:dyDescent="0.25">
      <c r="B11" t="s">
        <v>70</v>
      </c>
      <c r="C11" s="30">
        <f>C7*('ROI Model Assumptions'!$C$19*'ROI Model Assumptions'!$C$20-'ROI Model Assumptions'!$C$21*'ROI Model Assumptions'!$C$22)*'ROI Model Assumptions'!$C$13</f>
        <v>22500.000000000004</v>
      </c>
      <c r="D11" s="30">
        <f>D7*('ROI Model Assumptions'!$C$19*'ROI Model Assumptions'!$C$20-'ROI Model Assumptions'!$C$21*'ROI Model Assumptions'!$C$22)*'ROI Model Assumptions'!$C$13</f>
        <v>33750.000000000007</v>
      </c>
      <c r="E11" s="30">
        <f>E7*('ROI Model Assumptions'!$C$19*'ROI Model Assumptions'!$C$20-'ROI Model Assumptions'!$C$21*'ROI Model Assumptions'!$C$22)*'ROI Model Assumptions'!$C$13</f>
        <v>45000.000000000007</v>
      </c>
    </row>
    <row r="12" spans="2:5" x14ac:dyDescent="0.25">
      <c r="B12" t="s">
        <v>71</v>
      </c>
      <c r="C12" s="30">
        <f>-C7*'ROI Model Assumptions'!$C$25*'ROI Model Assumptions'!$C$24*'ROI Model Assumptions'!$C$13</f>
        <v>-5000</v>
      </c>
      <c r="D12" s="30">
        <f>-D7*'ROI Model Assumptions'!$C$26*'ROI Model Assumptions'!$C$24*'ROI Model Assumptions'!$C$13</f>
        <v>-3750</v>
      </c>
      <c r="E12" s="30">
        <f>-E7*'ROI Model Assumptions'!$C$27*'ROI Model Assumptions'!$C$24*'ROI Model Assumptions'!$C$13</f>
        <v>-3000</v>
      </c>
    </row>
    <row r="13" spans="2:5" x14ac:dyDescent="0.25">
      <c r="B13" s="31" t="s">
        <v>72</v>
      </c>
      <c r="C13" s="32">
        <f>SUM(C10:C12)</f>
        <v>392500</v>
      </c>
      <c r="D13" s="32">
        <f>SUM(D10:D12)</f>
        <v>592500</v>
      </c>
      <c r="E13" s="32">
        <f>SUM(E10:E12)</f>
        <v>792000</v>
      </c>
    </row>
    <row r="15" spans="2:5" x14ac:dyDescent="0.25">
      <c r="B15" s="13" t="s">
        <v>73</v>
      </c>
      <c r="C15" s="13"/>
      <c r="D15" s="13"/>
      <c r="E15" s="13"/>
    </row>
    <row r="16" spans="2:5" x14ac:dyDescent="0.25">
      <c r="B16" t="s">
        <v>74</v>
      </c>
      <c r="C16" s="33">
        <f>'ROI Model Assumptions'!$C$8</f>
        <v>400000</v>
      </c>
      <c r="D16" s="33">
        <v>0</v>
      </c>
      <c r="E16" s="33">
        <v>0</v>
      </c>
    </row>
    <row r="17" spans="2:7" x14ac:dyDescent="0.25">
      <c r="B17" t="s">
        <v>75</v>
      </c>
      <c r="C17" s="33">
        <f>'ROI Model Assumptions'!$C$9</f>
        <v>100000</v>
      </c>
      <c r="D17" s="33">
        <f>'ROI Model Assumptions'!$C$9</f>
        <v>100000</v>
      </c>
      <c r="E17" s="33">
        <f>'ROI Model Assumptions'!$C$9</f>
        <v>100000</v>
      </c>
    </row>
    <row r="18" spans="2:7" x14ac:dyDescent="0.25">
      <c r="B18" t="s">
        <v>76</v>
      </c>
      <c r="C18" s="33">
        <f>'ROI Model Assumptions'!$C$10</f>
        <v>100000</v>
      </c>
      <c r="D18" s="33">
        <f>'ROI Model Assumptions'!$C$10</f>
        <v>100000</v>
      </c>
      <c r="E18" s="33">
        <f>'ROI Model Assumptions'!$C$10</f>
        <v>100000</v>
      </c>
    </row>
    <row r="19" spans="2:7" x14ac:dyDescent="0.25">
      <c r="B19" t="s">
        <v>77</v>
      </c>
      <c r="C19" s="30">
        <f>C7*'ROI Model Assumptions'!$C$43</f>
        <v>3796.875</v>
      </c>
      <c r="D19" s="30">
        <f>D7*'ROI Model Assumptions'!$C$43</f>
        <v>5695.3125</v>
      </c>
      <c r="E19" s="30">
        <f>E7*'ROI Model Assumptions'!$C$43</f>
        <v>7593.75</v>
      </c>
    </row>
    <row r="20" spans="2:7" x14ac:dyDescent="0.25">
      <c r="B20" s="31" t="s">
        <v>78</v>
      </c>
      <c r="C20" s="32">
        <f>SUM(C16:C19)</f>
        <v>603796.875</v>
      </c>
      <c r="D20" s="32">
        <f>SUM(D16:D19)</f>
        <v>205695.3125</v>
      </c>
      <c r="E20" s="32">
        <f>SUM(E16:E19)</f>
        <v>207593.75</v>
      </c>
    </row>
    <row r="22" spans="2:7" x14ac:dyDescent="0.25">
      <c r="B22" s="13" t="s">
        <v>79</v>
      </c>
      <c r="C22" s="13"/>
      <c r="D22" s="13"/>
      <c r="E22" s="13"/>
    </row>
    <row r="23" spans="2:7" x14ac:dyDescent="0.25">
      <c r="B23" s="31" t="s">
        <v>80</v>
      </c>
      <c r="C23" s="32">
        <f>C13-C20</f>
        <v>-211296.875</v>
      </c>
      <c r="D23" s="32">
        <f>D13-D20</f>
        <v>386804.6875</v>
      </c>
      <c r="E23" s="32">
        <f>E13-E20</f>
        <v>584406.25</v>
      </c>
    </row>
    <row r="24" spans="2:7" x14ac:dyDescent="0.25">
      <c r="B24" t="s">
        <v>81</v>
      </c>
      <c r="C24" s="30">
        <f>C23</f>
        <v>-211296.875</v>
      </c>
      <c r="D24" s="30">
        <f>C24+D23</f>
        <v>175507.8125</v>
      </c>
      <c r="E24" s="30">
        <f>D24+E23</f>
        <v>759914.0625</v>
      </c>
    </row>
    <row r="25" spans="2:7" x14ac:dyDescent="0.25">
      <c r="B25" t="s">
        <v>82</v>
      </c>
      <c r="C25" s="5">
        <f>C23/C20</f>
        <v>-0.34994695028853867</v>
      </c>
      <c r="D25" s="5">
        <f>D23/D20</f>
        <v>1.8804740020509705</v>
      </c>
      <c r="E25" s="5">
        <f>E23/E20</f>
        <v>2.81514376034924</v>
      </c>
    </row>
    <row r="27" spans="2:7" x14ac:dyDescent="0.25">
      <c r="B27" s="13" t="s">
        <v>83</v>
      </c>
      <c r="C27" s="13"/>
      <c r="D27" s="13"/>
      <c r="E27" s="13"/>
    </row>
    <row r="28" spans="2:7" x14ac:dyDescent="0.25">
      <c r="B28" t="s">
        <v>84</v>
      </c>
      <c r="C28" s="32">
        <f>NPV('ROI Model Assumptions'!C46,C23:E23)</f>
        <v>493000.09760006587</v>
      </c>
      <c r="E28" s="42"/>
      <c r="G28" s="14"/>
    </row>
    <row r="29" spans="2:7" x14ac:dyDescent="0.25">
      <c r="B29" t="s">
        <v>85</v>
      </c>
      <c r="C29" s="34">
        <f>E24/SUM(C20:E20)</f>
        <v>0.74714833278284309</v>
      </c>
      <c r="F29" s="12" t="s">
        <v>188</v>
      </c>
    </row>
    <row r="30" spans="2:7" x14ac:dyDescent="0.25">
      <c r="B30" t="s">
        <v>86</v>
      </c>
      <c r="C30" s="35">
        <f>IF(C24&gt;=0,12*C20/C13,IF(D24&gt;=0,12+12*(-C24)/D23,IF(E24&gt;=0,24+12*(-D24)/E23,"beyond 36 months")))</f>
        <v>18.555149360748118</v>
      </c>
      <c r="E30" s="42"/>
    </row>
    <row r="32" spans="2:7" x14ac:dyDescent="0.25">
      <c r="B32" s="13" t="s">
        <v>87</v>
      </c>
      <c r="C32" s="13"/>
      <c r="D32" s="13"/>
      <c r="E32" s="13"/>
    </row>
    <row r="33" spans="2:6" x14ac:dyDescent="0.25">
      <c r="B33" t="s">
        <v>88</v>
      </c>
      <c r="C33" s="8">
        <f>'ROI Model Assumptions'!C7*'ROI Model Assumptions'!C16</f>
        <v>7500</v>
      </c>
    </row>
    <row r="34" spans="2:6" x14ac:dyDescent="0.25">
      <c r="B34" t="s">
        <v>89</v>
      </c>
      <c r="C34" s="36">
        <f>C33/1800</f>
        <v>4.166666666666667</v>
      </c>
      <c r="F34" s="37" t="s">
        <v>187</v>
      </c>
    </row>
    <row r="35" spans="2:6" ht="15" customHeight="1" x14ac:dyDescent="0.25">
      <c r="D35" s="12"/>
      <c r="E35" s="12"/>
    </row>
    <row r="36" spans="2:6" x14ac:dyDescent="0.25">
      <c r="C36" s="12"/>
      <c r="D36" s="12"/>
      <c r="E36" s="12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WorkFlow Uplift Metrics</vt:lpstr>
      <vt:lpstr>ROI Model Assumptions</vt:lpstr>
      <vt:lpstr>ROI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Saurav Tripathy</cp:lastModifiedBy>
  <cp:revision>0</cp:revision>
  <dcterms:created xsi:type="dcterms:W3CDTF">2026-07-02T14:16:27Z</dcterms:created>
  <dcterms:modified xsi:type="dcterms:W3CDTF">2026-07-02T16:24:01Z</dcterms:modified>
  <dc:language>en-US</dc:language>
</cp:coreProperties>
</file>